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 d'emploi" sheetId="1" state="visible" r:id="rId3"/>
    <sheet name="Paramètres 2026" sheetId="2" state="visible" r:id="rId4"/>
    <sheet name="Calcul salarié" sheetId="3" state="visible" r:id="rId5"/>
    <sheet name="Comparaison" sheetId="4" state="visible" r:id="rId6"/>
    <sheet name="Les 9 contrôles" sheetId="5" state="visible" r:id="rId7"/>
    <sheet name="Tests de bord" sheetId="6" state="visible" r:id="rId8"/>
    <sheet name="Rubriques DSN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<sst xmlns="http://schemas.openxmlformats.org/spreadsheetml/2006/main" count="292" uniqueCount="258">
  <si>
    <t xml:space="preserve">Matrice de contrôle RGDU 2026</t>
  </si>
  <si>
    <t xml:space="preserve">À quoi sert ce classeur</t>
  </si>
  <si>
    <t xml:space="preserve">Il reprend les neuf contrôles de la réduction générale dégressive unique et permet de rejouer un calcul mensuel à la main, pour un salarié et un mois donnés, afin de le comparer à ce que produit votre moteur de paie.</t>
  </si>
  <si>
    <t xml:space="preserve">Comment l'utiliser</t>
  </si>
  <si>
    <t xml:space="preserve">1. Paramètres 2026 : choisissez votre taux de FNAL dans la liste déroulante. Ajustez Tdelta si la somme de vos taux réels lui est inférieure.</t>
  </si>
  <si>
    <t xml:space="preserve">2. Calcul salarié : ne remplissez que les cellules sur fond jaune. La colonne B est la vôtre ; les colonnes C et D reproduisent les exemples 2 et 3 de l'article.</t>
  </si>
  <si>
    <t xml:space="preserve">3. Comparaison : saisissez le montant restitué par votre logiciel de paie et lisez l'écart.</t>
  </si>
  <si>
    <t xml:space="preserve">4. Les 9 contrôles : parcourez la grille et documentez chaque ligne. La colonne « pièce justificative » est la partie utile.</t>
  </si>
  <si>
    <t xml:space="preserve">5. Tests de bord : cas limites à rejouer sur votre propre moteur de paie.</t>
  </si>
  <si>
    <t xml:space="preserve">6. Rubriques DSN : les données à extraire pour instruire les contrôles.</t>
  </si>
  <si>
    <t xml:space="preserve">Ce que ce classeur ne fait pas</t>
  </si>
  <si>
    <t xml:space="preserve">Il calcule un mois anticipé au sens de l'article D. 241-8. Il ne remplace pas la régularisation annuelle de l'article D. 241-9, ne traite pas Mayotte, et n'intègre pas le III bis, dont le décret d'application n'était pas publié à la date de mise à jour.</t>
  </si>
  <si>
    <t xml:space="preserve">Le point le plus souvent manqué</t>
  </si>
  <si>
    <t xml:space="preserve">Le plafond d'éligibilité n'est pas 5 469,09 € pour tout le monde. Il vaut trois fois le SMIC de référence du salarié, lui-même proratisé pour un temps partiel ou une présence partielle. Un salarié à 50 % rémunéré 4 000 € par mois est hors champ, alors même que 4 000 € est inférieur au plafond d'un temps plein.</t>
  </si>
  <si>
    <t xml:space="preserve">Convention de couleurs</t>
  </si>
  <si>
    <t xml:space="preserve">Fond jaune : cellule à remplir. Fond bleu clair : résultat clé. Fond rose : alerte. Texte noir : formule.</t>
  </si>
  <si>
    <t xml:space="preserve">Sources</t>
  </si>
  <si>
    <t xml:space="preserve">Articles L. 241-13 et D. 241-7 à D. 241-11 du code de la sécurité sociale, dans leur version en vigueur à la date de mise à jour. Article D. 241-2-4 pour le plafond AT-MP. Arrêté du 4 décembre 2019, dans sa rédaction issue de l'arrêté du 4 septembre 2025, pour la déduction forfaitaire spécifique. Cahier technique de la norme DSN 2026.1 pour les rubriques.</t>
  </si>
  <si>
    <t xml:space="preserve">ACOMPIA — vérification de conformité URSSAF des entreprises de 50 à 5 000 salariés. Ce classeur présente l'état du droit et ne constitue pas une consultation.</t>
  </si>
  <si>
    <t xml:space="preserve">Paramètres applicables à l'année 2026</t>
  </si>
  <si>
    <t xml:space="preserve">Paramètre</t>
  </si>
  <si>
    <t xml:space="preserve">Valeur</t>
  </si>
  <si>
    <t xml:space="preserve">Fondement</t>
  </si>
  <si>
    <t xml:space="preserve">SMIC horaire brut au 1er janvier 2026</t>
  </si>
  <si>
    <t xml:space="preserve">Valeur gelée pour toute l'année 2026 — art. D. 241-7, I et II</t>
  </si>
  <si>
    <t xml:space="preserve">SMIC mensuel brut au 1er janvier 2026</t>
  </si>
  <si>
    <t xml:space="preserve">Base 151,67 h (52/12 x 35 h)</t>
  </si>
  <si>
    <t xml:space="preserve">Durée légale mensuelle (heures)</t>
  </si>
  <si>
    <t xml:space="preserve">52/12 x 35 heures</t>
  </si>
  <si>
    <t xml:space="preserve">Plafond mensuel d'un temps plein (3 SMIC)</t>
  </si>
  <si>
    <t xml:space="preserve">Art. L. 241-13, II. Ce plafond vaut pour un temps plein présent toute la période ; il est proratisé dans le calcul individuel.</t>
  </si>
  <si>
    <t xml:space="preserve">Tmin</t>
  </si>
  <si>
    <t xml:space="preserve">Art. D. 241-7, III</t>
  </si>
  <si>
    <t xml:space="preserve">Tdelta — FNAL au taux du 1° de L. 813-5 CCH</t>
  </si>
  <si>
    <t xml:space="preserve">Tdelta — FNAL au taux du 2° de L. 813-5 CCH</t>
  </si>
  <si>
    <t xml:space="preserve">Exposant P</t>
  </si>
  <si>
    <t xml:space="preserve">Plafond d'imputation AT-MP</t>
  </si>
  <si>
    <t xml:space="preserve">Art. D. 241-2-4</t>
  </si>
  <si>
    <t xml:space="preserve">Facteur caisse de congés payés (b)</t>
  </si>
  <si>
    <t xml:space="preserve">Art. D. 241-10, IV — 100/90</t>
  </si>
  <si>
    <t xml:space="preserve">Facteur intérim avec ICCP (b)</t>
  </si>
  <si>
    <t xml:space="preserve">Art. D. 241-10, III</t>
  </si>
  <si>
    <t xml:space="preserve">Facteur équivalence longue distance (a)</t>
  </si>
  <si>
    <t xml:space="preserve">Art. D. 241-10, II, 1° — 45/35</t>
  </si>
  <si>
    <t xml:space="preserve">Facteur équivalence courte distance (a)</t>
  </si>
  <si>
    <t xml:space="preserve">Art. D. 241-10, II, 2° — 40/35</t>
  </si>
  <si>
    <t xml:space="preserve">Jours de référence du forfait annuel</t>
  </si>
  <si>
    <t xml:space="preserve">Art. D. 241-7, IV, alinéa 3</t>
  </si>
  <si>
    <t xml:space="preserve">Taux de FNAL applicable</t>
  </si>
  <si>
    <t xml:space="preserve">1° de L. 813-5</t>
  </si>
  <si>
    <t xml:space="preserve">Liste déroulante. Détermine le Tdelta retenu ci-dessous.</t>
  </si>
  <si>
    <t xml:space="preserve">Tdelta retenu pour le calcul</t>
  </si>
  <si>
    <t xml:space="preserve">Réduisez cette valeur en dur si la somme de vos taux réellement à votre charge est inférieure à Tmin + Tdelta (art. D. 241-7, III, dernier alinéa).</t>
  </si>
  <si>
    <t xml:space="preserve">Reconstitution d'un mois anticipé (art. D. 241-8)</t>
  </si>
  <si>
    <t xml:space="preserve">Donnée</t>
  </si>
  <si>
    <t xml:space="preserve">Votre cas</t>
  </si>
  <si>
    <t xml:space="preserve">Exemple 2 — absence</t>
  </si>
  <si>
    <t xml:space="preserve">Exemple 3 — conducteur</t>
  </si>
  <si>
    <t xml:space="preserve">Précision</t>
  </si>
  <si>
    <t xml:space="preserve">Identifiant du salarié</t>
  </si>
  <si>
    <t xml:space="preserve">EXEMPLE — temps partiel 28 h</t>
  </si>
  <si>
    <t xml:space="preserve">Temps plein, prime d'assiduité</t>
  </si>
  <si>
    <t xml:space="preserve">Conducteur grande distance</t>
  </si>
  <si>
    <t xml:space="preserve">Remplacez la colonne B par vos données.</t>
  </si>
  <si>
    <t xml:space="preserve">Mois de paie</t>
  </si>
  <si>
    <t xml:space="preserve">Mars 2026</t>
  </si>
  <si>
    <t xml:space="preserve">Durée contractuelle mensuelle (heures)</t>
  </si>
  <si>
    <t xml:space="preserve">Durée inscrite au contrat, hors heures supplémentaires et complémentaires — art. D. 241-7, IV, al. 2.</t>
  </si>
  <si>
    <t xml:space="preserve">Heures supplémentaires rémunérées</t>
  </si>
  <si>
    <t xml:space="preserve">Nombre d'heures, hors majorations — art. L. 241-13, III, al. 2.</t>
  </si>
  <si>
    <t xml:space="preserve">Heures complémentaires rémunérées</t>
  </si>
  <si>
    <t xml:space="preserve">Nombre d'heures, hors majorations.</t>
  </si>
  <si>
    <t xml:space="preserve">Forfait annuel en jours (0 si sans objet)</t>
  </si>
  <si>
    <t xml:space="preserve">Correction appliquée uniquement si le forfait est strictement inférieur à 218 jours.</t>
  </si>
  <si>
    <t xml:space="preserve">Rapport de correction pour absence</t>
  </si>
  <si>
    <t xml:space="preserve">1 en l'absence d'absence. Sinon, rémunération due / rémunération qui aurait été due, en écartant des deux termes les éléments non réduits strictement proportionnellement — art. D. 241-7, IV, al. 5.</t>
  </si>
  <si>
    <t xml:space="preserve">Facteur a (équivalence)</t>
  </si>
  <si>
    <t xml:space="preserve">1 par défaut. 45/35 ou 40/35 pour les conducteurs soumis à un régime d'équivalence. Ne s'applique pas aux heures supplémentaires (Cass. 2e civ., 27 février 2025, n° 22-17.286).</t>
  </si>
  <si>
    <t xml:space="preserve">Facteur b (coefficient)</t>
  </si>
  <si>
    <t xml:space="preserve">1 par défaut. 100/90 en caisse de congés payés, 1,1 pour un intérimaire percevant une ICCP.</t>
  </si>
  <si>
    <t xml:space="preserve">Rémunération brute du mois</t>
  </si>
  <si>
    <t xml:space="preserve">Assiette de l'article L. 242-1, majorée le cas échéant de la prime de partage de la valeur. Heures supplémentaires incluses avec leurs majorations.</t>
  </si>
  <si>
    <t xml:space="preserve">Taux de déduction forfaitaire spécifique</t>
  </si>
  <si>
    <t xml:space="preserve">0 si aucune DFS. Sinon le taux en vigueur pour la profession, exprimé en décimal (0,17 pour 17 %).</t>
  </si>
  <si>
    <t xml:space="preserve">Reconstitution du SMIC de référence</t>
  </si>
  <si>
    <t xml:space="preserve">Étape</t>
  </si>
  <si>
    <t xml:space="preserve">Exemple 2</t>
  </si>
  <si>
    <t xml:space="preserve">Exemple 3</t>
  </si>
  <si>
    <t xml:space="preserve">Formule appliquée</t>
  </si>
  <si>
    <t xml:space="preserve">SMIC mensuel de base</t>
  </si>
  <si>
    <t xml:space="preserve">Valeur gelée au 1er janvier 2026.</t>
  </si>
  <si>
    <t xml:space="preserve">Proratisation sur la durée contractuelle</t>
  </si>
  <si>
    <t xml:space="preserve">Prorata plafonné à 1 : un temps plein n'est pas majoré à ce titre.</t>
  </si>
  <si>
    <t xml:space="preserve">Correction forfait jours</t>
  </si>
  <si>
    <t xml:space="preserve">N'intervient que si le forfait est strictement inférieur à 218 jours.</t>
  </si>
  <si>
    <t xml:space="preserve">Correction pour absence</t>
  </si>
  <si>
    <t xml:space="preserve">Rapport saisi en ligne 11.</t>
  </si>
  <si>
    <t xml:space="preserve">Application du facteur a</t>
  </si>
  <si>
    <t xml:space="preserve">Le facteur d'équivalence s'applique avant l'ajout des heures supplémentaires.</t>
  </si>
  <si>
    <t xml:space="preserve">Majoration heures supplémentaires et complémentaires</t>
  </si>
  <si>
    <t xml:space="preserve">Nombre d'heures multiplié par le SMIC horaire, au taux simple.</t>
  </si>
  <si>
    <t xml:space="preserve">SMIC de référence retenu</t>
  </si>
  <si>
    <t xml:space="preserve">Numérateur du rapport de la formule.</t>
  </si>
  <si>
    <t xml:space="preserve">Éligibilité, coefficient et réduction</t>
  </si>
  <si>
    <t xml:space="preserve">Plafond individuel (3 x SMIC de référence)</t>
  </si>
  <si>
    <t xml:space="preserve">Le plafond est proratisé comme le SMIC de référence. Il ne vaut 5 469,09 € que pour un temps plein présent toute la période.</t>
  </si>
  <si>
    <t xml:space="preserve">Éligibilité</t>
  </si>
  <si>
    <t xml:space="preserve">Art. L. 241-13, II : la réduction est réservée aux rémunérations inférieures au plafond.</t>
  </si>
  <si>
    <t xml:space="preserve">Terme entre crochets</t>
  </si>
  <si>
    <t xml:space="preserve">Nul dès que la rémunération atteint le plafond individuel.</t>
  </si>
  <si>
    <t xml:space="preserve">Coefficient avant plafond</t>
  </si>
  <si>
    <t xml:space="preserve">Arrondi à quatre décimales, art. D. 241-7, II.</t>
  </si>
  <si>
    <t xml:space="preserve">Coefficient plafonné</t>
  </si>
  <si>
    <t xml:space="preserve">Plafonné à Tmin + Tdelta.</t>
  </si>
  <si>
    <t xml:space="preserve">Coefficient après facteur b</t>
  </si>
  <si>
    <t xml:space="preserve">Le facteur b s'applique au coefficient, non à l'assiette.</t>
  </si>
  <si>
    <t xml:space="preserve">Réduction du mois</t>
  </si>
  <si>
    <t xml:space="preserve">Montant appliqué par anticipation au titre du mois.</t>
  </si>
  <si>
    <t xml:space="preserve">dont imputation maximale sur AT-MP</t>
  </si>
  <si>
    <t xml:space="preserve">Plafond de 0,49 % de la rémunération, art. D. 241-2-4.</t>
  </si>
  <si>
    <t xml:space="preserve">Contrôle du plafonnement en cas de déduction forfaitaire spécifique</t>
  </si>
  <si>
    <t xml:space="preserve">Rémunération avant abattement</t>
  </si>
  <si>
    <t xml:space="preserve">Reconstituée à partir de l'assiette et du taux de DFS saisis.</t>
  </si>
  <si>
    <t xml:space="preserve">Coefficient sans abattement</t>
  </si>
  <si>
    <t xml:space="preserve">Même SMIC de référence, dénominateur non abattu.</t>
  </si>
  <si>
    <t xml:space="preserve">Réduction sans abattement</t>
  </si>
  <si>
    <t xml:space="preserve">Second terme de la comparaison imposée par l'arrêté.</t>
  </si>
  <si>
    <t xml:space="preserve">Ratio avec / sans abattement</t>
  </si>
  <si>
    <t xml:space="preserve">Doit être inférieur ou égal à 1,30.</t>
  </si>
  <si>
    <t xml:space="preserve">Verdict</t>
  </si>
  <si>
    <t xml:space="preserve">Arrêté du 4 décembre 2019, art. 1er, dans sa rédaction issue de l'arrêté du 4 septembre 2025.</t>
  </si>
  <si>
    <t xml:space="preserve">Ce contrôle reconstitue la rémunération avant abattement à partir du taux saisi. Si votre moteur de paie applique un abattement plafonné ou une assiette différente, comparez plutôt les deux montants qu'il restitue directement.</t>
  </si>
  <si>
    <t xml:space="preserve">Écart entre le calcul reconstitué et la paie</t>
  </si>
  <si>
    <t xml:space="preserve">Élément</t>
  </si>
  <si>
    <t xml:space="preserve">Montant</t>
  </si>
  <si>
    <t xml:space="preserve">Commentaire</t>
  </si>
  <si>
    <t xml:space="preserve">Réduction reconstituée (colonne « Votre cas »)</t>
  </si>
  <si>
    <t xml:space="preserve">Réduction appliquée par le logiciel de paie</t>
  </si>
  <si>
    <t xml:space="preserve">À saisir. La valeur d'exemple correspond au double comptage décrit au contrôle n° 1.</t>
  </si>
  <si>
    <t xml:space="preserve">Écart</t>
  </si>
  <si>
    <t xml:space="preserve">Sens de l'écart</t>
  </si>
  <si>
    <t xml:space="preserve">Projection sur douze mois</t>
  </si>
  <si>
    <t xml:space="preserve">Ordre de grandeur pour un écart systématique, pour un seul salarié. À multiplier par la population concernée.</t>
  </si>
  <si>
    <t xml:space="preserve">Prescriptions applicables</t>
  </si>
  <si>
    <t xml:space="preserve">Sur-application</t>
  </si>
  <si>
    <t xml:space="preserve">URSSAF</t>
  </si>
  <si>
    <t xml:space="preserve">Trois ans à compter de la fin de l'année civile au titre de laquelle les cotisations sont dues (art. L. 244-3), délai susceptible de suspension pendant la période contradictoire.</t>
  </si>
  <si>
    <t xml:space="preserve">Sous-application</t>
  </si>
  <si>
    <t xml:space="preserve">Employeur</t>
  </si>
  <si>
    <t xml:space="preserve">Trois ans à compter de la date à laquelle chaque cotisation a été acquittée (art. L. 243-6).</t>
  </si>
  <si>
    <t xml:space="preserve">Grille des neuf contrôles</t>
  </si>
  <si>
    <t xml:space="preserve">N°</t>
  </si>
  <si>
    <t xml:space="preserve">Contrôle</t>
  </si>
  <si>
    <t xml:space="preserve">Texte applicable</t>
  </si>
  <si>
    <t xml:space="preserve">Erreur fréquente</t>
  </si>
  <si>
    <t xml:space="preserve">Donnée DSN</t>
  </si>
  <si>
    <t xml:space="preserve">Statut</t>
  </si>
  <si>
    <t xml:space="preserve">Pièce justificative</t>
  </si>
  <si>
    <t xml:space="preserve">01</t>
  </si>
  <si>
    <t xml:space="preserve">Temps partiel et durée contractuelle</t>
  </si>
  <si>
    <t xml:space="preserve">D. 241-7, IV, al. 2</t>
  </si>
  <si>
    <t xml:space="preserve">Proratiser sur les heures payées puis ajouter par-dessus la majoration des heures complémentaires : le SMIC de référence est gonflé deux fois.</t>
  </si>
  <si>
    <t xml:space="preserve">40.011 / 40.012 / 40.013</t>
  </si>
  <si>
    <t xml:space="preserve">À faire</t>
  </si>
  <si>
    <t xml:space="preserve">02</t>
  </si>
  <si>
    <t xml:space="preserve">Forfait annuel en jours</t>
  </si>
  <si>
    <t xml:space="preserve">D. 241-7, IV, al. 3</t>
  </si>
  <si>
    <t xml:space="preserve">Appliquer la correction à un forfait égal ou supérieur à 218 jours, ou retenir les jours réellement travaillés au lieu des jours du forfait.</t>
  </si>
  <si>
    <t xml:space="preserve">40.011 / 40.013</t>
  </si>
  <si>
    <t xml:space="preserve">03</t>
  </si>
  <si>
    <t xml:space="preserve">Heures supplémentaires et complémentaires</t>
  </si>
  <si>
    <t xml:space="preserve">L. 241-13, III, al. 2</t>
  </si>
  <si>
    <t xml:space="preserve">Majorer le SMIC de référence des heures supplémentaires avec leurs majorations.</t>
  </si>
  <si>
    <t xml:space="preserve">79.001 type 01 / 79.004</t>
  </si>
  <si>
    <t xml:space="preserve">04</t>
  </si>
  <si>
    <t xml:space="preserve">Absences et suspensions</t>
  </si>
  <si>
    <t xml:space="preserve">D. 241-7, IV, al. 4 et 5</t>
  </si>
  <si>
    <t xml:space="preserve">Traiter comme affecté par l'absence un élément qui n'est pas réduit strictement proportionnellement au temps d'absence.</t>
  </si>
  <si>
    <t xml:space="preserve">05</t>
  </si>
  <si>
    <t xml:space="preserve">Intérim</t>
  </si>
  <si>
    <t xml:space="preserve">D. 241-7, V et D. 241-10, III</t>
  </si>
  <si>
    <t xml:space="preserve">Annualiser sur l'année civile au lieu de calculer par mission ; omettre les sommes issues du compte épargne-temps.</t>
  </si>
  <si>
    <t xml:space="preserve">40.007 / 40.009 / 40.046</t>
  </si>
  <si>
    <t xml:space="preserve">06</t>
  </si>
  <si>
    <t xml:space="preserve">Caisse de congés payés</t>
  </si>
  <si>
    <t xml:space="preserve">D. 241-10, IV</t>
  </si>
  <si>
    <t xml:space="preserve">Appliquer le facteur 100/90 à l'assiette au lieu du coefficient, ou l'omettre après un changement de logiciel.</t>
  </si>
  <si>
    <t xml:space="preserve">40.022</t>
  </si>
  <si>
    <t xml:space="preserve">07</t>
  </si>
  <si>
    <t xml:space="preserve">Régime d'équivalence (conducteurs)</t>
  </si>
  <si>
    <t xml:space="preserve">D. 241-10, II</t>
  </si>
  <si>
    <t xml:space="preserve">Appliquer le facteur d'équivalence après l'ajout des heures supplémentaires.</t>
  </si>
  <si>
    <t xml:space="preserve">40.017</t>
  </si>
  <si>
    <t xml:space="preserve">08</t>
  </si>
  <si>
    <t xml:space="preserve">Déduction forfaitaire spécifique</t>
  </si>
  <si>
    <t xml:space="preserve">Arrêté du 4 décembre 2019</t>
  </si>
  <si>
    <t xml:space="preserve">Ne pas exécuter le double calcul et ne pas vérifier le plafond de 130 %.</t>
  </si>
  <si>
    <t xml:space="preserve">40.023</t>
  </si>
  <si>
    <t xml:space="preserve">09</t>
  </si>
  <si>
    <t xml:space="preserve">Minimum de branche (III bis)</t>
  </si>
  <si>
    <t xml:space="preserve">L. 241-13, III bis</t>
  </si>
  <si>
    <t xml:space="preserve">Croire que le dispositif majore la réduction : il ne peut que la diminuer. Décret d'application non publié à ce jour.</t>
  </si>
  <si>
    <t xml:space="preserve">La charge de la preuve des éléments propres à la détermination du coefficient pèse sur le cotisant (Cass. 2e civ., 15 mai 2025, n° 23-12.372, publié ; 19 mars 2026, n° 23-20.367). La colonne « pièce justificative » est donc la partie utile de cette grille.</t>
  </si>
  <si>
    <t xml:space="preserve">Cas limites à rejouer sur votre moteur de paie</t>
  </si>
  <si>
    <t xml:space="preserve">Cas testé</t>
  </si>
  <si>
    <t xml:space="preserve">SMIC de réf.</t>
  </si>
  <si>
    <t xml:space="preserve">Rémunération</t>
  </si>
  <si>
    <t xml:space="preserve">Plafond indiv.</t>
  </si>
  <si>
    <t xml:space="preserve">Coefficient</t>
  </si>
  <si>
    <t xml:space="preserve">Réduction</t>
  </si>
  <si>
    <t xml:space="preserve">Attendu</t>
  </si>
  <si>
    <t xml:space="preserve">Temps plein, rémunération juste sous le plafond</t>
  </si>
  <si>
    <t xml:space="preserve">Coefficient au plancher de 0,0200, réduction non nulle.</t>
  </si>
  <si>
    <t xml:space="preserve">Temps plein, rémunération égale au plafond</t>
  </si>
  <si>
    <t xml:space="preserve">Hors champ : réduction nulle. C'est la marche.</t>
  </si>
  <si>
    <t xml:space="preserve">Temps partiel 50 %, rémunération 4 000 €</t>
  </si>
  <si>
    <t xml:space="preserve">Hors champ : le plafond individuel est de 2 734,55 €, non 5 469,09 €.</t>
  </si>
  <si>
    <t xml:space="preserve">Forfait 217 jours, rémunération 3 000 €</t>
  </si>
  <si>
    <t xml:space="preserve">Correction appliquée : le forfait est strictement inférieur à 218.</t>
  </si>
  <si>
    <t xml:space="preserve">Forfait 218 jours, rémunération 3 000 €</t>
  </si>
  <si>
    <t xml:space="preserve">Aucune correction : SMIC de référence entier.</t>
  </si>
  <si>
    <t xml:space="preserve">Caisse de congés payés, facteur b = 100/90</t>
  </si>
  <si>
    <t xml:space="preserve">Coefficient multiplié par 1,111111 après arrondi.</t>
  </si>
  <si>
    <t xml:space="preserve">Conducteur, facteur a = 45/35</t>
  </si>
  <si>
    <t xml:space="preserve">Le facteur majore le SMIC de référence, pas le coefficient.</t>
  </si>
  <si>
    <t xml:space="preserve">Rémunération au SMIC</t>
  </si>
  <si>
    <t xml:space="preserve">Coefficient à son maximum, Tmin + Tdelta.</t>
  </si>
  <si>
    <t xml:space="preserve">Test du plafonnement DFS : avec un ratio de 1,30 le verdict doit être « Conforme », avec 1,31 il doit être « DÉPASSEMENT ». Ce test se rejoue sur l'onglet Calcul salarié en faisant varier le taux de DFS de la ligne 15.</t>
  </si>
  <si>
    <t xml:space="preserve">Données à extraire de la DSN</t>
  </si>
  <si>
    <t xml:space="preserve">Rubrique</t>
  </si>
  <si>
    <t xml:space="preserve">Libellé de la norme DSN 2026.1</t>
  </si>
  <si>
    <t xml:space="preserve">Contrôle concerné</t>
  </si>
  <si>
    <t xml:space="preserve">S21.G00.40.007</t>
  </si>
  <si>
    <t xml:space="preserve">Nature du contrat</t>
  </si>
  <si>
    <t xml:space="preserve">S21.G00.40.009</t>
  </si>
  <si>
    <t xml:space="preserve">Numéro du contrat</t>
  </si>
  <si>
    <t xml:space="preserve">S21.G00.40.011</t>
  </si>
  <si>
    <t xml:space="preserve">Unité de mesure de la quotité de travail</t>
  </si>
  <si>
    <t xml:space="preserve">01, 02</t>
  </si>
  <si>
    <t xml:space="preserve">S21.G00.40.012</t>
  </si>
  <si>
    <t xml:space="preserve">Quotité de travail de référence de l'entreprise pour la catégorie de salarié</t>
  </si>
  <si>
    <t xml:space="preserve">S21.G00.40.013</t>
  </si>
  <si>
    <t xml:space="preserve">Quotité de travail du contrat</t>
  </si>
  <si>
    <t xml:space="preserve">S21.G00.40.017</t>
  </si>
  <si>
    <t xml:space="preserve">Code convention collective applicable</t>
  </si>
  <si>
    <t xml:space="preserve">07, 09</t>
  </si>
  <si>
    <t xml:space="preserve">S21.G00.40.022</t>
  </si>
  <si>
    <t xml:space="preserve">Code caisse professionnelle de congés payés</t>
  </si>
  <si>
    <t xml:space="preserve">S21.G00.40.023</t>
  </si>
  <si>
    <t xml:space="preserve">Taux de déduction forfaitaire spécifique pour frais professionnels</t>
  </si>
  <si>
    <t xml:space="preserve">S21.G00.40.046</t>
  </si>
  <si>
    <t xml:space="preserve">Identifiant de l'établissement utilisateur</t>
  </si>
  <si>
    <t xml:space="preserve">S21.G00.79.001, valeur 01</t>
  </si>
  <si>
    <t xml:space="preserve">Type de composant de base assujettie — montant du SMIC retenu pour le calcul de la réduction générale</t>
  </si>
  <si>
    <t xml:space="preserve">03, 04</t>
  </si>
  <si>
    <t xml:space="preserve">S21.G00.79.004</t>
  </si>
  <si>
    <t xml:space="preserve">Montant de composant de base assujettie</t>
  </si>
  <si>
    <t xml:space="preserve">Libellés relevés dans le cahier technique NEODeS CT2026.1.2 du 24 décembre 2025 (bloc S21.G00.40 pages 186 à 202, bloc S21.G00.79 pages 298 à 300, tableau de synthèse pages 365 à 369). À reconfronter au cahier technique en vigueur pour l'exercice contrôlé.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</si>
</sst>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"/>
    <numFmt numFmtId="166" formatCode="#,##0.00"/>
    <numFmt numFmtId="167" formatCode="0.0000"/>
    <numFmt numFmtId="168" formatCode="0.00%"/>
    <numFmt numFmtId="169" formatCode="0.000000"/>
    <numFmt numFmtId="170" formatCode="0"/>
    <numFmt numFmtId="171" formatCode="#,##0.00;\(#,##0.00\)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3A6B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B3A6B"/>
      <name val="Arial"/>
      <family val="0"/>
      <charset val="1"/>
    </font>
    <font>
      <i val="true"/>
      <sz val="9"/>
      <color rgb="FF6C7885"/>
      <name val="Arial"/>
      <family val="0"/>
      <charset val="1"/>
    </font>
    <font>
      <b val="true"/>
      <sz val="14"/>
      <color rgb="FF1B3A6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1B3A6B"/>
      <name val="Arial"/>
      <family val="0"/>
      <charset val="1"/>
    </font>
    <font>
      <i val="true"/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B3A6B"/>
        <bgColor rgb="FF333399"/>
      </patternFill>
    </fill>
    <fill>
      <patternFill patternType="solid">
        <fgColor rgb="FFFFF3C4"/>
        <bgColor rgb="FFFFFF99"/>
      </patternFill>
    </fill>
    <fill>
      <patternFill patternType="solid">
        <fgColor rgb="FFE4EBF5"/>
        <bgColor rgb="FFD7DEE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EE5"/>
      </left>
      <right style="thin">
        <color rgb="FFD7DEE5"/>
      </right>
      <top style="thin">
        <color rgb="FFD7DEE5"/>
      </top>
      <bottom style="thin">
        <color rgb="FFD7DE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0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1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1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C7885"/>
      <rgbColor rgb="FF9999FF"/>
      <rgbColor rgb="FF993366"/>
      <rgbColor rgb="FFFFF3C4"/>
      <rgbColor rgb="FFE4EBF5"/>
      <rgbColor rgb="FF660066"/>
      <rgbColor rgb="FFFF8080"/>
      <rgbColor rgb="FF0066CC"/>
      <rgbColor rgb="FFD7DE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3A6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6"/>
  </cols>
  <sheetData>
    <row r="2" customFormat="false" ht="19.7" hidden="false" customHeight="false" outlineLevel="0" collapsed="false">
      <c r="B2" s="1" t="s">
        <v>0</v>
      </c>
    </row>
    <row r="4" customFormat="false" ht="18" hidden="false" customHeight="true" outlineLevel="0" collapsed="false">
      <c r="B4" s="2"/>
    </row>
    <row r="5" customFormat="false" ht="18" hidden="false" customHeight="true" outlineLevel="0" collapsed="false">
      <c r="B5" s="3" t="s">
        <v>1</v>
      </c>
    </row>
    <row r="6" customFormat="false" ht="31.5" hidden="false" customHeight="true" outlineLevel="0" collapsed="false">
      <c r="B6" s="2" t="s">
        <v>2</v>
      </c>
    </row>
    <row r="7" customFormat="false" ht="18" hidden="false" customHeight="true" outlineLevel="0" collapsed="false">
      <c r="B7" s="2"/>
    </row>
    <row r="8" customFormat="false" ht="18" hidden="false" customHeight="true" outlineLevel="0" collapsed="false">
      <c r="B8" s="3" t="s">
        <v>3</v>
      </c>
    </row>
    <row r="9" customFormat="false" ht="31.5" hidden="false" customHeight="true" outlineLevel="0" collapsed="false">
      <c r="B9" s="2" t="s">
        <v>4</v>
      </c>
    </row>
    <row r="10" customFormat="false" ht="31.5" hidden="false" customHeight="true" outlineLevel="0" collapsed="false">
      <c r="B10" s="2" t="s">
        <v>5</v>
      </c>
    </row>
    <row r="11" customFormat="false" ht="31.5" hidden="false" customHeight="true" outlineLevel="0" collapsed="false">
      <c r="B11" s="2" t="s">
        <v>6</v>
      </c>
    </row>
    <row r="12" customFormat="false" ht="31.5" hidden="false" customHeight="true" outlineLevel="0" collapsed="false">
      <c r="B12" s="2" t="s">
        <v>7</v>
      </c>
    </row>
    <row r="13" customFormat="false" ht="31.5" hidden="false" customHeight="true" outlineLevel="0" collapsed="false">
      <c r="B13" s="2" t="s">
        <v>8</v>
      </c>
    </row>
    <row r="14" customFormat="false" ht="31.5" hidden="false" customHeight="true" outlineLevel="0" collapsed="false">
      <c r="B14" s="2" t="s">
        <v>9</v>
      </c>
    </row>
    <row r="15" customFormat="false" ht="18" hidden="false" customHeight="true" outlineLevel="0" collapsed="false">
      <c r="B15" s="2"/>
    </row>
    <row r="16" customFormat="false" ht="18" hidden="false" customHeight="true" outlineLevel="0" collapsed="false">
      <c r="B16" s="3" t="s">
        <v>10</v>
      </c>
    </row>
    <row r="17" customFormat="false" ht="31.5" hidden="false" customHeight="true" outlineLevel="0" collapsed="false">
      <c r="B17" s="2" t="s">
        <v>11</v>
      </c>
    </row>
    <row r="18" customFormat="false" ht="18" hidden="false" customHeight="true" outlineLevel="0" collapsed="false">
      <c r="B18" s="2"/>
    </row>
    <row r="19" customFormat="false" ht="18" hidden="false" customHeight="true" outlineLevel="0" collapsed="false">
      <c r="B19" s="3" t="s">
        <v>12</v>
      </c>
    </row>
    <row r="20" customFormat="false" ht="31.5" hidden="false" customHeight="true" outlineLevel="0" collapsed="false">
      <c r="B20" s="2" t="s">
        <v>13</v>
      </c>
    </row>
    <row r="21" customFormat="false" ht="18" hidden="false" customHeight="true" outlineLevel="0" collapsed="false">
      <c r="B21" s="2"/>
    </row>
    <row r="22" customFormat="false" ht="18" hidden="false" customHeight="true" outlineLevel="0" collapsed="false">
      <c r="B22" s="3" t="s">
        <v>14</v>
      </c>
    </row>
    <row r="23" customFormat="false" ht="31.5" hidden="false" customHeight="true" outlineLevel="0" collapsed="false">
      <c r="B23" s="2" t="s">
        <v>15</v>
      </c>
    </row>
    <row r="24" customFormat="false" ht="18" hidden="false" customHeight="true" outlineLevel="0" collapsed="false">
      <c r="B24" s="2"/>
    </row>
    <row r="25" customFormat="false" ht="18" hidden="false" customHeight="true" outlineLevel="0" collapsed="false">
      <c r="B25" s="3" t="s">
        <v>16</v>
      </c>
    </row>
    <row r="26" customFormat="false" ht="31.5" hidden="false" customHeight="true" outlineLevel="0" collapsed="false">
      <c r="B26" s="2" t="s">
        <v>17</v>
      </c>
    </row>
    <row r="27" customFormat="false" ht="18" hidden="false" customHeight="true" outlineLevel="0" collapsed="false">
      <c r="B27" s="2"/>
    </row>
    <row r="28" customFormat="false" ht="18" hidden="false" customHeight="true" outlineLevel="0" collapsed="false">
      <c r="B28" s="4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8"/>
    <col collapsed="false" customWidth="true" hidden="false" outlineLevel="0" max="3" min="3" style="0" width="66"/>
  </cols>
  <sheetData>
    <row r="2" customFormat="false" ht="17.35" hidden="false" customHeight="false" outlineLevel="0" collapsed="false">
      <c r="A2" s="5" t="s">
        <v>19</v>
      </c>
    </row>
    <row r="4" customFormat="false" ht="30" hidden="false" customHeight="true" outlineLevel="0" collapsed="false">
      <c r="A4" s="6" t="s">
        <v>20</v>
      </c>
      <c r="B4" s="6" t="s">
        <v>21</v>
      </c>
      <c r="C4" s="6" t="s">
        <v>22</v>
      </c>
    </row>
    <row r="5" customFormat="false" ht="30" hidden="false" customHeight="true" outlineLevel="0" collapsed="false">
      <c r="A5" s="7" t="s">
        <v>23</v>
      </c>
      <c r="B5" s="8" t="n">
        <v>12.02</v>
      </c>
      <c r="C5" s="9" t="s">
        <v>24</v>
      </c>
    </row>
    <row r="6" customFormat="false" ht="30" hidden="false" customHeight="true" outlineLevel="0" collapsed="false">
      <c r="A6" s="7" t="s">
        <v>25</v>
      </c>
      <c r="B6" s="10" t="n">
        <v>1823.03</v>
      </c>
      <c r="C6" s="9" t="s">
        <v>26</v>
      </c>
    </row>
    <row r="7" customFormat="false" ht="30" hidden="false" customHeight="true" outlineLevel="0" collapsed="false">
      <c r="A7" s="7" t="s">
        <v>27</v>
      </c>
      <c r="B7" s="11" t="n">
        <v>151.6667</v>
      </c>
      <c r="C7" s="9" t="s">
        <v>28</v>
      </c>
    </row>
    <row r="8" customFormat="false" ht="30" hidden="false" customHeight="true" outlineLevel="0" collapsed="false">
      <c r="A8" s="7" t="s">
        <v>29</v>
      </c>
      <c r="B8" s="12" t="n">
        <f aca="false">B6*3</f>
        <v>5469.09</v>
      </c>
      <c r="C8" s="9" t="s">
        <v>30</v>
      </c>
    </row>
    <row r="9" customFormat="false" ht="30" hidden="false" customHeight="true" outlineLevel="0" collapsed="false">
      <c r="A9" s="7" t="s">
        <v>31</v>
      </c>
      <c r="B9" s="11" t="n">
        <v>0.02</v>
      </c>
      <c r="C9" s="9" t="s">
        <v>32</v>
      </c>
    </row>
    <row r="10" customFormat="false" ht="30" hidden="false" customHeight="true" outlineLevel="0" collapsed="false">
      <c r="A10" s="7" t="s">
        <v>33</v>
      </c>
      <c r="B10" s="11" t="n">
        <v>0.3781</v>
      </c>
      <c r="C10" s="9" t="s">
        <v>32</v>
      </c>
    </row>
    <row r="11" customFormat="false" ht="30" hidden="false" customHeight="true" outlineLevel="0" collapsed="false">
      <c r="A11" s="7" t="s">
        <v>34</v>
      </c>
      <c r="B11" s="11" t="n">
        <v>0.3821</v>
      </c>
      <c r="C11" s="9" t="s">
        <v>32</v>
      </c>
    </row>
    <row r="12" customFormat="false" ht="30" hidden="false" customHeight="true" outlineLevel="0" collapsed="false">
      <c r="A12" s="7" t="s">
        <v>35</v>
      </c>
      <c r="B12" s="8" t="n">
        <v>1.75</v>
      </c>
      <c r="C12" s="9" t="s">
        <v>32</v>
      </c>
    </row>
    <row r="13" customFormat="false" ht="30" hidden="false" customHeight="true" outlineLevel="0" collapsed="false">
      <c r="A13" s="7" t="s">
        <v>36</v>
      </c>
      <c r="B13" s="13" t="n">
        <v>0.0049</v>
      </c>
      <c r="C13" s="9" t="s">
        <v>37</v>
      </c>
    </row>
    <row r="14" customFormat="false" ht="30" hidden="false" customHeight="true" outlineLevel="0" collapsed="false">
      <c r="A14" s="7" t="s">
        <v>38</v>
      </c>
      <c r="B14" s="14" t="n">
        <f aca="false">100/90</f>
        <v>1.11111111111111</v>
      </c>
      <c r="C14" s="9" t="s">
        <v>39</v>
      </c>
    </row>
    <row r="15" customFormat="false" ht="30" hidden="false" customHeight="true" outlineLevel="0" collapsed="false">
      <c r="A15" s="7" t="s">
        <v>40</v>
      </c>
      <c r="B15" s="8" t="n">
        <v>1.1</v>
      </c>
      <c r="C15" s="9" t="s">
        <v>41</v>
      </c>
    </row>
    <row r="16" customFormat="false" ht="30" hidden="false" customHeight="true" outlineLevel="0" collapsed="false">
      <c r="A16" s="7" t="s">
        <v>42</v>
      </c>
      <c r="B16" s="14" t="n">
        <f aca="false">45/35</f>
        <v>1.28571428571429</v>
      </c>
      <c r="C16" s="9" t="s">
        <v>43</v>
      </c>
    </row>
    <row r="17" customFormat="false" ht="30" hidden="false" customHeight="true" outlineLevel="0" collapsed="false">
      <c r="A17" s="7" t="s">
        <v>44</v>
      </c>
      <c r="B17" s="14" t="n">
        <f aca="false">40/35</f>
        <v>1.14285714285714</v>
      </c>
      <c r="C17" s="9" t="s">
        <v>45</v>
      </c>
    </row>
    <row r="18" customFormat="false" ht="30" hidden="false" customHeight="true" outlineLevel="0" collapsed="false">
      <c r="A18" s="7" t="s">
        <v>46</v>
      </c>
      <c r="B18" s="15" t="n">
        <v>218</v>
      </c>
      <c r="C18" s="9" t="s">
        <v>47</v>
      </c>
    </row>
    <row r="20" customFormat="false" ht="15" hidden="false" customHeight="false" outlineLevel="0" collapsed="false">
      <c r="A20" s="16" t="s">
        <v>48</v>
      </c>
      <c r="B20" s="17" t="s">
        <v>49</v>
      </c>
      <c r="C20" s="9" t="s">
        <v>50</v>
      </c>
    </row>
    <row r="21" customFormat="false" ht="43.5" hidden="false" customHeight="true" outlineLevel="0" collapsed="false">
      <c r="A21" s="16" t="s">
        <v>51</v>
      </c>
      <c r="B21" s="18" t="n">
        <f aca="false">IF(B20="2° de L. 813-5",B11,B10)</f>
        <v>0.3781</v>
      </c>
      <c r="C21" s="9" t="s">
        <v>52</v>
      </c>
    </row>
  </sheetData>
  <dataValidations count="1">
    <dataValidation allowBlank="false" errorStyle="stop" operator="between" showDropDown="false" showErrorMessage="false" showInputMessage="false" sqref="B20" type="list">
      <formula1>"1° de L. 813-5,2° de L. 813-5"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E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4" min="2" style="0" width="17"/>
    <col collapsed="false" customWidth="true" hidden="false" outlineLevel="0" max="5" min="5" style="0" width="58"/>
  </cols>
  <sheetData>
    <row r="2" customFormat="false" ht="17.35" hidden="false" customHeight="false" outlineLevel="0" collapsed="false">
      <c r="A2" s="5" t="s">
        <v>53</v>
      </c>
    </row>
    <row r="4" customFormat="false" ht="33.75" hidden="false" customHeight="true" outlineLevel="0" collapsed="false">
      <c r="A4" s="6" t="s">
        <v>54</v>
      </c>
      <c r="B4" s="6" t="s">
        <v>55</v>
      </c>
      <c r="C4" s="6" t="s">
        <v>56</v>
      </c>
      <c r="D4" s="6" t="s">
        <v>57</v>
      </c>
      <c r="E4" s="6" t="s">
        <v>58</v>
      </c>
    </row>
    <row r="5" customFormat="false" ht="39.75" hidden="false" customHeight="true" outlineLevel="0" collapsed="false">
      <c r="A5" s="7" t="s">
        <v>59</v>
      </c>
      <c r="B5" s="19" t="s">
        <v>60</v>
      </c>
      <c r="C5" s="19" t="s">
        <v>61</v>
      </c>
      <c r="D5" s="19" t="s">
        <v>62</v>
      </c>
      <c r="E5" s="9" t="s">
        <v>63</v>
      </c>
    </row>
    <row r="6" customFormat="false" ht="21.75" hidden="false" customHeight="true" outlineLevel="0" collapsed="false">
      <c r="A6" s="7" t="s">
        <v>64</v>
      </c>
      <c r="B6" s="19" t="s">
        <v>65</v>
      </c>
      <c r="C6" s="19" t="s">
        <v>65</v>
      </c>
      <c r="D6" s="19" t="s">
        <v>65</v>
      </c>
      <c r="E6" s="9"/>
    </row>
    <row r="7" customFormat="false" ht="39.75" hidden="false" customHeight="true" outlineLevel="0" collapsed="false">
      <c r="A7" s="7" t="s">
        <v>66</v>
      </c>
      <c r="B7" s="11" t="n">
        <v>121.3333</v>
      </c>
      <c r="C7" s="11" t="n">
        <v>151.6667</v>
      </c>
      <c r="D7" s="11" t="n">
        <v>151.6667</v>
      </c>
      <c r="E7" s="9" t="s">
        <v>67</v>
      </c>
    </row>
    <row r="8" customFormat="false" ht="39.75" hidden="false" customHeight="true" outlineLevel="0" collapsed="false">
      <c r="A8" s="7" t="s">
        <v>68</v>
      </c>
      <c r="B8" s="8" t="n">
        <v>0</v>
      </c>
      <c r="C8" s="8" t="n">
        <v>0</v>
      </c>
      <c r="D8" s="8" t="n">
        <v>10</v>
      </c>
      <c r="E8" s="9" t="s">
        <v>69</v>
      </c>
    </row>
    <row r="9" customFormat="false" ht="39.75" hidden="false" customHeight="true" outlineLevel="0" collapsed="false">
      <c r="A9" s="7" t="s">
        <v>70</v>
      </c>
      <c r="B9" s="8" t="n">
        <v>8</v>
      </c>
      <c r="C9" s="8" t="n">
        <v>0</v>
      </c>
      <c r="D9" s="8" t="n">
        <v>0</v>
      </c>
      <c r="E9" s="9" t="s">
        <v>71</v>
      </c>
    </row>
    <row r="10" customFormat="false" ht="39.75" hidden="false" customHeight="true" outlineLevel="0" collapsed="false">
      <c r="A10" s="7" t="s">
        <v>72</v>
      </c>
      <c r="B10" s="15" t="n">
        <v>0</v>
      </c>
      <c r="C10" s="15" t="n">
        <v>0</v>
      </c>
      <c r="D10" s="15" t="n">
        <v>0</v>
      </c>
      <c r="E10" s="9" t="s">
        <v>73</v>
      </c>
    </row>
    <row r="11" customFormat="false" ht="39.75" hidden="false" customHeight="true" outlineLevel="0" collapsed="false">
      <c r="A11" s="7" t="s">
        <v>74</v>
      </c>
      <c r="B11" s="20" t="n">
        <v>1</v>
      </c>
      <c r="C11" s="20" t="n">
        <v>0.857143</v>
      </c>
      <c r="D11" s="20" t="n">
        <v>1</v>
      </c>
      <c r="E11" s="9" t="s">
        <v>75</v>
      </c>
    </row>
    <row r="12" customFormat="false" ht="39.75" hidden="false" customHeight="true" outlineLevel="0" collapsed="false">
      <c r="A12" s="7" t="s">
        <v>76</v>
      </c>
      <c r="B12" s="20" t="n">
        <v>1</v>
      </c>
      <c r="C12" s="20" t="n">
        <v>1</v>
      </c>
      <c r="D12" s="20" t="n">
        <f aca="false">'Paramètres 2026'!B16</f>
        <v>1.28571428571429</v>
      </c>
      <c r="E12" s="9" t="s">
        <v>77</v>
      </c>
    </row>
    <row r="13" customFormat="false" ht="39.75" hidden="false" customHeight="true" outlineLevel="0" collapsed="false">
      <c r="A13" s="7" t="s">
        <v>78</v>
      </c>
      <c r="B13" s="20" t="n">
        <v>1</v>
      </c>
      <c r="C13" s="20" t="n">
        <v>1</v>
      </c>
      <c r="D13" s="20" t="n">
        <v>1</v>
      </c>
      <c r="E13" s="9" t="s">
        <v>79</v>
      </c>
    </row>
    <row r="14" customFormat="false" ht="39.75" hidden="false" customHeight="true" outlineLevel="0" collapsed="false">
      <c r="A14" s="7" t="s">
        <v>80</v>
      </c>
      <c r="B14" s="10" t="n">
        <v>1691.73</v>
      </c>
      <c r="C14" s="10" t="n">
        <v>2035.71</v>
      </c>
      <c r="D14" s="10" t="n">
        <v>2500</v>
      </c>
      <c r="E14" s="9" t="s">
        <v>81</v>
      </c>
    </row>
    <row r="15" customFormat="false" ht="39.75" hidden="false" customHeight="true" outlineLevel="0" collapsed="false">
      <c r="A15" s="7" t="s">
        <v>82</v>
      </c>
      <c r="B15" s="13" t="n">
        <v>0</v>
      </c>
      <c r="C15" s="13" t="n">
        <v>0</v>
      </c>
      <c r="D15" s="13" t="n">
        <v>0</v>
      </c>
      <c r="E15" s="9" t="s">
        <v>83</v>
      </c>
    </row>
    <row r="17" customFormat="false" ht="15" hidden="false" customHeight="false" outlineLevel="0" collapsed="false">
      <c r="A17" s="21" t="s">
        <v>84</v>
      </c>
    </row>
    <row r="18" customFormat="false" ht="21.75" hidden="false" customHeight="true" outlineLevel="0" collapsed="false">
      <c r="A18" s="6" t="s">
        <v>85</v>
      </c>
      <c r="B18" s="6" t="s">
        <v>55</v>
      </c>
      <c r="C18" s="6" t="s">
        <v>86</v>
      </c>
      <c r="D18" s="6" t="s">
        <v>87</v>
      </c>
      <c r="E18" s="6" t="s">
        <v>88</v>
      </c>
    </row>
    <row r="19" customFormat="false" ht="30" hidden="false" customHeight="true" outlineLevel="0" collapsed="false">
      <c r="A19" s="7" t="s">
        <v>89</v>
      </c>
      <c r="B19" s="12" t="n">
        <f aca="false">'Paramètres 2026'!B6</f>
        <v>1823.03</v>
      </c>
      <c r="C19" s="12" t="n">
        <f aca="false">'Paramètres 2026'!B6</f>
        <v>1823.03</v>
      </c>
      <c r="D19" s="12" t="n">
        <f aca="false">'Paramètres 2026'!B6</f>
        <v>1823.03</v>
      </c>
      <c r="E19" s="9" t="s">
        <v>90</v>
      </c>
    </row>
    <row r="20" customFormat="false" ht="30" hidden="false" customHeight="true" outlineLevel="0" collapsed="false">
      <c r="A20" s="7" t="s">
        <v>91</v>
      </c>
      <c r="B20" s="12" t="n">
        <f aca="false">B19*MIN(1,B7/'Paramètres 2026'!B7)</f>
        <v>1458.42327880148</v>
      </c>
      <c r="C20" s="12" t="n">
        <f aca="false">C19*MIN(1,C7/'Paramètres 2026'!B7)</f>
        <v>1823.03</v>
      </c>
      <c r="D20" s="12" t="n">
        <f aca="false">D19*MIN(1,D7/'Paramètres 2026'!B7)</f>
        <v>1823.03</v>
      </c>
      <c r="E20" s="9" t="s">
        <v>92</v>
      </c>
    </row>
    <row r="21" customFormat="false" ht="30" hidden="false" customHeight="true" outlineLevel="0" collapsed="false">
      <c r="A21" s="7" t="s">
        <v>93</v>
      </c>
      <c r="B21" s="12" t="n">
        <f aca="false">IF(AND(B10&gt;0,B10&lt;'Paramètres 2026'!B18),B20*B10/'Paramètres 2026'!B18,B20)</f>
        <v>1458.42327880148</v>
      </c>
      <c r="C21" s="12" t="n">
        <f aca="false">IF(AND(C10&gt;0,C10&lt;'Paramètres 2026'!B18),C20*C10/'Paramètres 2026'!B18,C20)</f>
        <v>1823.03</v>
      </c>
      <c r="D21" s="12" t="n">
        <f aca="false">IF(AND(D10&gt;0,D10&lt;'Paramètres 2026'!B18),D20*D10/'Paramètres 2026'!B18,D20)</f>
        <v>1823.03</v>
      </c>
      <c r="E21" s="9" t="s">
        <v>94</v>
      </c>
    </row>
    <row r="22" customFormat="false" ht="30" hidden="false" customHeight="true" outlineLevel="0" collapsed="false">
      <c r="A22" s="7" t="s">
        <v>95</v>
      </c>
      <c r="B22" s="12" t="n">
        <f aca="false">B21*B11</f>
        <v>1458.42327880148</v>
      </c>
      <c r="C22" s="12" t="n">
        <f aca="false">C21*C11</f>
        <v>1562.59740329</v>
      </c>
      <c r="D22" s="12" t="n">
        <f aca="false">D21*D11</f>
        <v>1823.03</v>
      </c>
      <c r="E22" s="9" t="s">
        <v>96</v>
      </c>
    </row>
    <row r="23" customFormat="false" ht="30" hidden="false" customHeight="true" outlineLevel="0" collapsed="false">
      <c r="A23" s="7" t="s">
        <v>97</v>
      </c>
      <c r="B23" s="12" t="n">
        <f aca="false">B22*B12</f>
        <v>1458.42327880148</v>
      </c>
      <c r="C23" s="12" t="n">
        <f aca="false">C22*C12</f>
        <v>1562.59740329</v>
      </c>
      <c r="D23" s="12" t="n">
        <f aca="false">D22*D12</f>
        <v>2343.89571428571</v>
      </c>
      <c r="E23" s="9" t="s">
        <v>98</v>
      </c>
    </row>
    <row r="24" customFormat="false" ht="30" hidden="false" customHeight="true" outlineLevel="0" collapsed="false">
      <c r="A24" s="7" t="s">
        <v>99</v>
      </c>
      <c r="B24" s="12" t="n">
        <f aca="false">(B8+B9)*'Paramètres 2026'!B5</f>
        <v>96.16</v>
      </c>
      <c r="C24" s="12" t="n">
        <f aca="false">(C8+C9)*'Paramètres 2026'!B5</f>
        <v>0</v>
      </c>
      <c r="D24" s="12" t="n">
        <f aca="false">(D8+D9)*'Paramètres 2026'!B5</f>
        <v>120.2</v>
      </c>
      <c r="E24" s="9" t="s">
        <v>100</v>
      </c>
    </row>
    <row r="25" customFormat="false" ht="30" hidden="false" customHeight="true" outlineLevel="0" collapsed="false">
      <c r="A25" s="7" t="s">
        <v>101</v>
      </c>
      <c r="B25" s="22" t="n">
        <f aca="false">B23+B24</f>
        <v>1554.58327880148</v>
      </c>
      <c r="C25" s="22" t="n">
        <f aca="false">C23+C24</f>
        <v>1562.59740329</v>
      </c>
      <c r="D25" s="22" t="n">
        <f aca="false">D23+D24</f>
        <v>2464.09571428571</v>
      </c>
      <c r="E25" s="9" t="s">
        <v>102</v>
      </c>
    </row>
    <row r="27" customFormat="false" ht="15" hidden="false" customHeight="false" outlineLevel="0" collapsed="false">
      <c r="A27" s="21" t="s">
        <v>103</v>
      </c>
    </row>
    <row r="28" customFormat="false" ht="21.75" hidden="false" customHeight="true" outlineLevel="0" collapsed="false">
      <c r="A28" s="6" t="s">
        <v>85</v>
      </c>
      <c r="B28" s="6" t="s">
        <v>55</v>
      </c>
      <c r="C28" s="6" t="s">
        <v>86</v>
      </c>
      <c r="D28" s="6" t="s">
        <v>87</v>
      </c>
      <c r="E28" s="6" t="s">
        <v>88</v>
      </c>
    </row>
    <row r="29" customFormat="false" ht="31.5" hidden="false" customHeight="true" outlineLevel="0" collapsed="false">
      <c r="A29" s="7" t="s">
        <v>104</v>
      </c>
      <c r="B29" s="23" t="n">
        <f aca="false">3*B25</f>
        <v>4663.74983640443</v>
      </c>
      <c r="C29" s="23" t="n">
        <f aca="false">3*C25</f>
        <v>4687.79220987</v>
      </c>
      <c r="D29" s="23" t="n">
        <f aca="false">3*D25</f>
        <v>7392.28714285714</v>
      </c>
      <c r="E29" s="9" t="s">
        <v>105</v>
      </c>
    </row>
    <row r="30" customFormat="false" ht="31.5" hidden="false" customHeight="true" outlineLevel="0" collapsed="false">
      <c r="A30" s="7" t="s">
        <v>106</v>
      </c>
      <c r="B30" s="24" t="str">
        <f aca="false">IF(B14&lt;B29,"Éligible","Hors champ — réduction nulle")</f>
        <v>Éligible</v>
      </c>
      <c r="C30" s="24" t="str">
        <f aca="false">IF(C14&lt;C29,"Éligible","Hors champ — réduction nulle")</f>
        <v>Éligible</v>
      </c>
      <c r="D30" s="24" t="str">
        <f aca="false">IF(D14&lt;D29,"Éligible","Hors champ — réduction nulle")</f>
        <v>Éligible</v>
      </c>
      <c r="E30" s="9" t="s">
        <v>107</v>
      </c>
    </row>
    <row r="31" customFormat="false" ht="31.5" hidden="false" customHeight="true" outlineLevel="0" collapsed="false">
      <c r="A31" s="7" t="s">
        <v>108</v>
      </c>
      <c r="B31" s="14" t="n">
        <f aca="false">MAX(0,0.5*(3*B25/B14-1))</f>
        <v>0.878396622511994</v>
      </c>
      <c r="C31" s="14" t="n">
        <f aca="false">MAX(0,0.5*(3*C25/C14-1))</f>
        <v>0.651389984297862</v>
      </c>
      <c r="D31" s="14" t="n">
        <f aca="false">MAX(0,0.5*(3*D25/D14-1))</f>
        <v>0.978457428571429</v>
      </c>
      <c r="E31" s="9" t="s">
        <v>109</v>
      </c>
    </row>
    <row r="32" customFormat="false" ht="31.5" hidden="false" customHeight="true" outlineLevel="0" collapsed="false">
      <c r="A32" s="7" t="s">
        <v>110</v>
      </c>
      <c r="B32" s="25" t="n">
        <f aca="false">ROUND('Paramètres 2026'!B9+'Paramètres 2026'!$B$21*B31^'Paramètres 2026'!B12,4)</f>
        <v>0.3213</v>
      </c>
      <c r="C32" s="25" t="n">
        <f aca="false">ROUND('Paramètres 2026'!B9+'Paramètres 2026'!$B$21*C31^'Paramètres 2026'!B12,4)</f>
        <v>0.1986</v>
      </c>
      <c r="D32" s="25" t="n">
        <f aca="false">ROUND('Paramètres 2026'!B9+'Paramètres 2026'!$B$21*D31^'Paramètres 2026'!B12,4)</f>
        <v>0.384</v>
      </c>
      <c r="E32" s="9" t="s">
        <v>111</v>
      </c>
    </row>
    <row r="33" customFormat="false" ht="31.5" hidden="false" customHeight="true" outlineLevel="0" collapsed="false">
      <c r="A33" s="7" t="s">
        <v>112</v>
      </c>
      <c r="B33" s="25" t="n">
        <f aca="false">MIN(B32,'Paramètres 2026'!B9+'Paramètres 2026'!$B$21)</f>
        <v>0.3213</v>
      </c>
      <c r="C33" s="25" t="n">
        <f aca="false">MIN(C32,'Paramètres 2026'!B9+'Paramètres 2026'!$B$21)</f>
        <v>0.1986</v>
      </c>
      <c r="D33" s="25" t="n">
        <f aca="false">MIN(D32,'Paramètres 2026'!B9+'Paramètres 2026'!$B$21)</f>
        <v>0.384</v>
      </c>
      <c r="E33" s="9" t="s">
        <v>113</v>
      </c>
    </row>
    <row r="34" customFormat="false" ht="31.5" hidden="false" customHeight="true" outlineLevel="0" collapsed="false">
      <c r="A34" s="7" t="s">
        <v>114</v>
      </c>
      <c r="B34" s="26" t="n">
        <f aca="false">ROUND(B33*B13,4)</f>
        <v>0.3213</v>
      </c>
      <c r="C34" s="26" t="n">
        <f aca="false">ROUND(C33*C13,4)</f>
        <v>0.1986</v>
      </c>
      <c r="D34" s="26" t="n">
        <f aca="false">ROUND(D33*D13,4)</f>
        <v>0.384</v>
      </c>
      <c r="E34" s="9" t="s">
        <v>115</v>
      </c>
    </row>
    <row r="35" customFormat="false" ht="31.5" hidden="false" customHeight="true" outlineLevel="0" collapsed="false">
      <c r="A35" s="16" t="s">
        <v>116</v>
      </c>
      <c r="B35" s="22" t="n">
        <f aca="false">IF(B14&lt;B29,ROUND(B14*B34,2),0)</f>
        <v>543.55</v>
      </c>
      <c r="C35" s="22" t="n">
        <f aca="false">IF(C14&lt;C29,ROUND(C14*C34,2),0)</f>
        <v>404.29</v>
      </c>
      <c r="D35" s="22" t="n">
        <f aca="false">IF(D14&lt;D29,ROUND(D14*D34,2),0)</f>
        <v>960</v>
      </c>
      <c r="E35" s="9" t="s">
        <v>117</v>
      </c>
    </row>
    <row r="36" customFormat="false" ht="31.5" hidden="false" customHeight="true" outlineLevel="0" collapsed="false">
      <c r="A36" s="7" t="s">
        <v>118</v>
      </c>
      <c r="B36" s="12" t="n">
        <f aca="false">ROUND(B14*'Paramètres 2026'!B13,2)</f>
        <v>8.29</v>
      </c>
      <c r="C36" s="12" t="n">
        <f aca="false">ROUND(C14*'Paramètres 2026'!B13,2)</f>
        <v>9.97</v>
      </c>
      <c r="D36" s="12" t="n">
        <f aca="false">ROUND(D14*'Paramètres 2026'!B13,2)</f>
        <v>12.25</v>
      </c>
      <c r="E36" s="9" t="s">
        <v>119</v>
      </c>
    </row>
    <row r="38" customFormat="false" ht="15" hidden="false" customHeight="false" outlineLevel="0" collapsed="false">
      <c r="A38" s="21" t="s">
        <v>120</v>
      </c>
    </row>
    <row r="39" customFormat="false" ht="21.75" hidden="false" customHeight="true" outlineLevel="0" collapsed="false">
      <c r="A39" s="6" t="s">
        <v>85</v>
      </c>
      <c r="B39" s="6" t="s">
        <v>55</v>
      </c>
      <c r="C39" s="6" t="s">
        <v>86</v>
      </c>
      <c r="D39" s="6" t="s">
        <v>87</v>
      </c>
      <c r="E39" s="6" t="s">
        <v>88</v>
      </c>
    </row>
    <row r="40" customFormat="false" ht="31.5" hidden="false" customHeight="true" outlineLevel="0" collapsed="false">
      <c r="A40" s="7" t="s">
        <v>121</v>
      </c>
      <c r="B40" s="12" t="str">
        <f aca="false">IF(B15=0,"n/a",ROUND(B14/(1-B15),2))</f>
        <v>n/a</v>
      </c>
      <c r="C40" s="12" t="str">
        <f aca="false">IF(C15=0,"n/a",ROUND(C14/(1-C15),2))</f>
        <v>n/a</v>
      </c>
      <c r="D40" s="12" t="str">
        <f aca="false">IF(D15=0,"n/a",ROUND(D14/(1-D15),2))</f>
        <v>n/a</v>
      </c>
      <c r="E40" s="9" t="s">
        <v>122</v>
      </c>
    </row>
    <row r="41" customFormat="false" ht="31.5" hidden="false" customHeight="true" outlineLevel="0" collapsed="false">
      <c r="A41" s="7" t="s">
        <v>123</v>
      </c>
      <c r="B41" s="25" t="str">
        <f aca="false">IF(B15=0,"n/a",ROUND(MIN('Paramètres 2026'!B9+'Paramètres 2026'!$B$21,'Paramètres 2026'!B9+'Paramètres 2026'!$B$21*MAX(0,0.5*(3*B25/B40-1))^'Paramètres 2026'!B12),4)*B13)</f>
        <v>n/a</v>
      </c>
      <c r="C41" s="25" t="str">
        <f aca="false">IF(C15=0,"n/a",ROUND(MIN('Paramètres 2026'!B9+'Paramètres 2026'!$B$21,'Paramètres 2026'!B9+'Paramètres 2026'!$B$21*MAX(0,0.5*(3*C25/C40-1))^'Paramètres 2026'!B12),4)*C13)</f>
        <v>n/a</v>
      </c>
      <c r="D41" s="25" t="str">
        <f aca="false">IF(D15=0,"n/a",ROUND(MIN('Paramètres 2026'!B9+'Paramètres 2026'!$B$21,'Paramètres 2026'!B9+'Paramètres 2026'!$B$21*MAX(0,0.5*(3*D25/D40-1))^'Paramètres 2026'!B12),4)*D13)</f>
        <v>n/a</v>
      </c>
      <c r="E41" s="9" t="s">
        <v>124</v>
      </c>
    </row>
    <row r="42" customFormat="false" ht="31.5" hidden="false" customHeight="true" outlineLevel="0" collapsed="false">
      <c r="A42" s="7" t="s">
        <v>125</v>
      </c>
      <c r="B42" s="12" t="str">
        <f aca="false">IF(B15=0,"n/a",IF(B40&lt;B29,ROUND(B40*B41,2),0))</f>
        <v>n/a</v>
      </c>
      <c r="C42" s="12" t="str">
        <f aca="false">IF(C15=0,"n/a",IF(C40&lt;C29,ROUND(C40*C41,2),0))</f>
        <v>n/a</v>
      </c>
      <c r="D42" s="12" t="str">
        <f aca="false">IF(D15=0,"n/a",IF(D40&lt;D29,ROUND(D40*D41,2),0))</f>
        <v>n/a</v>
      </c>
      <c r="E42" s="9" t="s">
        <v>126</v>
      </c>
    </row>
    <row r="43" customFormat="false" ht="31.5" hidden="false" customHeight="true" outlineLevel="0" collapsed="false">
      <c r="A43" s="7" t="s">
        <v>127</v>
      </c>
      <c r="B43" s="25" t="str">
        <f aca="false">IF(B15=0,"n/a",IF(B42=0,"n/a",ROUND(B35/B42,4)))</f>
        <v>n/a</v>
      </c>
      <c r="C43" s="25" t="str">
        <f aca="false">IF(C15=0,"n/a",IF(C42=0,"n/a",ROUND(C35/C42,4)))</f>
        <v>n/a</v>
      </c>
      <c r="D43" s="25" t="str">
        <f aca="false">IF(D15=0,"n/a",IF(D42=0,"n/a",ROUND(D35/D42,4)))</f>
        <v>n/a</v>
      </c>
      <c r="E43" s="9" t="s">
        <v>128</v>
      </c>
    </row>
    <row r="44" customFormat="false" ht="31.5" hidden="false" customHeight="true" outlineLevel="0" collapsed="false">
      <c r="A44" s="7" t="s">
        <v>129</v>
      </c>
      <c r="B44" s="27" t="str">
        <f aca="false">IF(B15=0,"Sans objet",IF(B43&gt;1.3,"DÉPASSEMENT — plafonner à 130 %","Conforme"))</f>
        <v>Sans objet</v>
      </c>
      <c r="C44" s="27" t="str">
        <f aca="false">IF(C15=0,"Sans objet",IF(C43&gt;1.3,"DÉPASSEMENT — plafonner à 130 %","Conforme"))</f>
        <v>Sans objet</v>
      </c>
      <c r="D44" s="27" t="str">
        <f aca="false">IF(D15=0,"Sans objet",IF(D43&gt;1.3,"DÉPASSEMENT — plafonner à 130 %","Conforme"))</f>
        <v>Sans objet</v>
      </c>
      <c r="E44" s="9" t="s">
        <v>130</v>
      </c>
    </row>
    <row r="45" customFormat="false" ht="30" hidden="false" customHeight="true" outlineLevel="0" collapsed="false">
      <c r="A45" s="28" t="s">
        <v>131</v>
      </c>
      <c r="B45" s="28"/>
      <c r="C45" s="28"/>
      <c r="D45" s="28"/>
      <c r="E45" s="28"/>
    </row>
  </sheetData>
  <mergeCells count="1">
    <mergeCell ref="A45:E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18"/>
    <col collapsed="false" customWidth="true" hidden="false" outlineLevel="0" max="3" min="3" style="0" width="66"/>
  </cols>
  <sheetData>
    <row r="2" customFormat="false" ht="17.35" hidden="false" customHeight="false" outlineLevel="0" collapsed="false">
      <c r="A2" s="5" t="s">
        <v>132</v>
      </c>
    </row>
    <row r="4" customFormat="false" ht="30" hidden="false" customHeight="true" outlineLevel="0" collapsed="false">
      <c r="A4" s="6" t="s">
        <v>133</v>
      </c>
      <c r="B4" s="6" t="s">
        <v>134</v>
      </c>
      <c r="C4" s="6" t="s">
        <v>135</v>
      </c>
    </row>
    <row r="5" customFormat="false" ht="31.5" hidden="false" customHeight="true" outlineLevel="0" collapsed="false">
      <c r="A5" s="7" t="s">
        <v>136</v>
      </c>
      <c r="B5" s="22" t="n">
        <f aca="false">'Calcul salarié'!B35</f>
        <v>543.55</v>
      </c>
      <c r="C5" s="9"/>
    </row>
    <row r="6" customFormat="false" ht="31.5" hidden="false" customHeight="true" outlineLevel="0" collapsed="false">
      <c r="A6" s="7" t="s">
        <v>137</v>
      </c>
      <c r="B6" s="10" t="n">
        <v>633.38</v>
      </c>
      <c r="C6" s="9" t="s">
        <v>138</v>
      </c>
    </row>
    <row r="7" customFormat="false" ht="31.5" hidden="false" customHeight="true" outlineLevel="0" collapsed="false">
      <c r="A7" s="7" t="s">
        <v>139</v>
      </c>
      <c r="B7" s="29" t="n">
        <f aca="false">B6-B5</f>
        <v>89.83</v>
      </c>
      <c r="C7" s="9"/>
    </row>
    <row r="8" customFormat="false" ht="31.5" hidden="false" customHeight="true" outlineLevel="0" collapsed="false">
      <c r="A8" s="7" t="s">
        <v>140</v>
      </c>
      <c r="B8" s="27" t="str">
        <f aca="false">IF(ROUND(B7,2)=0,"Aucun écart",IF(B7&gt;0,"Sur-application — risque de redressement","Sous-application — indu récupérable"))</f>
        <v>Sur-application — risque de redressement</v>
      </c>
      <c r="C8" s="9"/>
    </row>
    <row r="9" customFormat="false" ht="31.5" hidden="false" customHeight="true" outlineLevel="0" collapsed="false">
      <c r="A9" s="7" t="s">
        <v>141</v>
      </c>
      <c r="B9" s="30" t="n">
        <f aca="false">B7*12</f>
        <v>1077.96</v>
      </c>
      <c r="C9" s="9" t="s">
        <v>142</v>
      </c>
    </row>
    <row r="11" customFormat="false" ht="15" hidden="false" customHeight="true" outlineLevel="0" collapsed="false">
      <c r="A11" s="16" t="s">
        <v>143</v>
      </c>
      <c r="B11" s="16"/>
      <c r="C11" s="16"/>
    </row>
    <row r="12" customFormat="false" ht="43.5" hidden="false" customHeight="true" outlineLevel="0" collapsed="false">
      <c r="A12" s="7" t="s">
        <v>144</v>
      </c>
      <c r="B12" s="7" t="s">
        <v>145</v>
      </c>
      <c r="C12" s="9" t="s">
        <v>146</v>
      </c>
    </row>
    <row r="13" customFormat="false" ht="31.5" hidden="false" customHeight="true" outlineLevel="0" collapsed="false">
      <c r="A13" s="7" t="s">
        <v>147</v>
      </c>
      <c r="B13" s="7" t="s">
        <v>148</v>
      </c>
      <c r="C13" s="9" t="s">
        <v>149</v>
      </c>
    </row>
  </sheetData>
  <mergeCells count="1">
    <mergeCell ref="A11:C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24"/>
    <col collapsed="false" customWidth="true" hidden="false" outlineLevel="0" max="4" min="4" style="0" width="40"/>
    <col collapsed="false" customWidth="true" hidden="false" outlineLevel="0" max="5" min="5" style="0" width="22"/>
    <col collapsed="false" customWidth="true" hidden="false" outlineLevel="0" max="6" min="6" style="0" width="15"/>
    <col collapsed="false" customWidth="true" hidden="false" outlineLevel="0" max="7" min="7" style="0" width="32"/>
  </cols>
  <sheetData>
    <row r="2" customFormat="false" ht="17.35" hidden="false" customHeight="false" outlineLevel="0" collapsed="false">
      <c r="A2" s="5" t="s">
        <v>150</v>
      </c>
    </row>
    <row r="4" customFormat="false" ht="33.75" hidden="false" customHeight="true" outlineLevel="0" collapsed="false">
      <c r="A4" s="6" t="s">
        <v>151</v>
      </c>
      <c r="B4" s="6" t="s">
        <v>152</v>
      </c>
      <c r="C4" s="6" t="s">
        <v>153</v>
      </c>
      <c r="D4" s="6" t="s">
        <v>154</v>
      </c>
      <c r="E4" s="6" t="s">
        <v>155</v>
      </c>
      <c r="F4" s="6" t="s">
        <v>156</v>
      </c>
      <c r="G4" s="6" t="s">
        <v>157</v>
      </c>
    </row>
    <row r="5" customFormat="false" ht="57.75" hidden="false" customHeight="true" outlineLevel="0" collapsed="false">
      <c r="A5" s="7" t="s">
        <v>158</v>
      </c>
      <c r="B5" s="16" t="s">
        <v>159</v>
      </c>
      <c r="C5" s="9" t="s">
        <v>160</v>
      </c>
      <c r="D5" s="9" t="s">
        <v>161</v>
      </c>
      <c r="E5" s="9" t="s">
        <v>162</v>
      </c>
      <c r="F5" s="19" t="s">
        <v>163</v>
      </c>
      <c r="G5" s="19"/>
    </row>
    <row r="6" customFormat="false" ht="57.75" hidden="false" customHeight="true" outlineLevel="0" collapsed="false">
      <c r="A6" s="7" t="s">
        <v>164</v>
      </c>
      <c r="B6" s="16" t="s">
        <v>165</v>
      </c>
      <c r="C6" s="9" t="s">
        <v>166</v>
      </c>
      <c r="D6" s="9" t="s">
        <v>167</v>
      </c>
      <c r="E6" s="9" t="s">
        <v>168</v>
      </c>
      <c r="F6" s="19" t="s">
        <v>163</v>
      </c>
      <c r="G6" s="19"/>
    </row>
    <row r="7" customFormat="false" ht="57.75" hidden="false" customHeight="true" outlineLevel="0" collapsed="false">
      <c r="A7" s="7" t="s">
        <v>169</v>
      </c>
      <c r="B7" s="16" t="s">
        <v>170</v>
      </c>
      <c r="C7" s="9" t="s">
        <v>171</v>
      </c>
      <c r="D7" s="9" t="s">
        <v>172</v>
      </c>
      <c r="E7" s="9" t="s">
        <v>173</v>
      </c>
      <c r="F7" s="19" t="s">
        <v>163</v>
      </c>
      <c r="G7" s="19"/>
    </row>
    <row r="8" customFormat="false" ht="57.75" hidden="false" customHeight="true" outlineLevel="0" collapsed="false">
      <c r="A8" s="7" t="s">
        <v>174</v>
      </c>
      <c r="B8" s="16" t="s">
        <v>175</v>
      </c>
      <c r="C8" s="9" t="s">
        <v>176</v>
      </c>
      <c r="D8" s="9" t="s">
        <v>177</v>
      </c>
      <c r="E8" s="9" t="s">
        <v>173</v>
      </c>
      <c r="F8" s="19" t="s">
        <v>163</v>
      </c>
      <c r="G8" s="19"/>
    </row>
    <row r="9" customFormat="false" ht="57.75" hidden="false" customHeight="true" outlineLevel="0" collapsed="false">
      <c r="A9" s="7" t="s">
        <v>178</v>
      </c>
      <c r="B9" s="16" t="s">
        <v>179</v>
      </c>
      <c r="C9" s="9" t="s">
        <v>180</v>
      </c>
      <c r="D9" s="9" t="s">
        <v>181</v>
      </c>
      <c r="E9" s="9" t="s">
        <v>182</v>
      </c>
      <c r="F9" s="19" t="s">
        <v>163</v>
      </c>
      <c r="G9" s="19"/>
    </row>
    <row r="10" customFormat="false" ht="57.75" hidden="false" customHeight="true" outlineLevel="0" collapsed="false">
      <c r="A10" s="7" t="s">
        <v>183</v>
      </c>
      <c r="B10" s="16" t="s">
        <v>184</v>
      </c>
      <c r="C10" s="9" t="s">
        <v>185</v>
      </c>
      <c r="D10" s="9" t="s">
        <v>186</v>
      </c>
      <c r="E10" s="9" t="s">
        <v>187</v>
      </c>
      <c r="F10" s="19" t="s">
        <v>163</v>
      </c>
      <c r="G10" s="19"/>
    </row>
    <row r="11" customFormat="false" ht="57.75" hidden="false" customHeight="true" outlineLevel="0" collapsed="false">
      <c r="A11" s="7" t="s">
        <v>188</v>
      </c>
      <c r="B11" s="16" t="s">
        <v>189</v>
      </c>
      <c r="C11" s="9" t="s">
        <v>190</v>
      </c>
      <c r="D11" s="9" t="s">
        <v>191</v>
      </c>
      <c r="E11" s="9" t="s">
        <v>192</v>
      </c>
      <c r="F11" s="19" t="s">
        <v>163</v>
      </c>
      <c r="G11" s="19"/>
    </row>
    <row r="12" customFormat="false" ht="57.75" hidden="false" customHeight="true" outlineLevel="0" collapsed="false">
      <c r="A12" s="7" t="s">
        <v>193</v>
      </c>
      <c r="B12" s="16" t="s">
        <v>194</v>
      </c>
      <c r="C12" s="9" t="s">
        <v>195</v>
      </c>
      <c r="D12" s="9" t="s">
        <v>196</v>
      </c>
      <c r="E12" s="9" t="s">
        <v>197</v>
      </c>
      <c r="F12" s="19" t="s">
        <v>163</v>
      </c>
      <c r="G12" s="19"/>
    </row>
    <row r="13" customFormat="false" ht="57.75" hidden="false" customHeight="true" outlineLevel="0" collapsed="false">
      <c r="A13" s="7" t="s">
        <v>198</v>
      </c>
      <c r="B13" s="16" t="s">
        <v>199</v>
      </c>
      <c r="C13" s="9" t="s">
        <v>200</v>
      </c>
      <c r="D13" s="9" t="s">
        <v>201</v>
      </c>
      <c r="E13" s="9" t="s">
        <v>192</v>
      </c>
      <c r="F13" s="19" t="s">
        <v>163</v>
      </c>
      <c r="G13" s="19"/>
    </row>
    <row r="15" customFormat="false" ht="31.5" hidden="false" customHeight="true" outlineLevel="0" collapsed="false">
      <c r="B15" s="28" t="s">
        <v>202</v>
      </c>
      <c r="C15" s="28"/>
      <c r="D15" s="28"/>
      <c r="E15" s="28"/>
      <c r="F15" s="28"/>
      <c r="G15" s="28"/>
    </row>
  </sheetData>
  <mergeCells count="1">
    <mergeCell ref="B15:G15"/>
  </mergeCells>
  <dataValidations count="1">
    <dataValidation allowBlank="true" errorStyle="stop" operator="between" showDropDown="false" showErrorMessage="false" showInputMessage="false" sqref="F5:F13" type="list">
      <formula1>"À faire,Conforme,Écart identifié,Sans objet"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4" min="2" style="0" width="15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40"/>
  </cols>
  <sheetData>
    <row r="2" customFormat="false" ht="17.35" hidden="false" customHeight="false" outlineLevel="0" collapsed="false">
      <c r="A2" s="5" t="s">
        <v>203</v>
      </c>
    </row>
    <row r="4" customFormat="false" ht="33.75" hidden="false" customHeight="true" outlineLevel="0" collapsed="false">
      <c r="A4" s="6" t="s">
        <v>204</v>
      </c>
      <c r="B4" s="6" t="s">
        <v>205</v>
      </c>
      <c r="C4" s="6" t="s">
        <v>206</v>
      </c>
      <c r="D4" s="6" t="s">
        <v>207</v>
      </c>
      <c r="E4" s="6" t="s">
        <v>208</v>
      </c>
      <c r="F4" s="6" t="s">
        <v>209</v>
      </c>
      <c r="G4" s="6" t="s">
        <v>210</v>
      </c>
    </row>
    <row r="5" customFormat="false" ht="33.75" hidden="false" customHeight="true" outlineLevel="0" collapsed="false">
      <c r="A5" s="7" t="s">
        <v>211</v>
      </c>
      <c r="B5" s="12" t="n">
        <f aca="false">'Paramètres 2026'!B6</f>
        <v>1823.03</v>
      </c>
      <c r="C5" s="10" t="n">
        <v>5469</v>
      </c>
      <c r="D5" s="12" t="n">
        <f aca="false">3*B5</f>
        <v>5469.09</v>
      </c>
      <c r="E5" s="25" t="n">
        <f aca="false">IF(C5&gt;=D5,0,ROUND(MIN('Paramètres 2026'!B9+'Paramètres 2026'!$B$21,'Paramètres 2026'!B9+'Paramètres 2026'!$B$21*MAX(0,0.5*(3*B5/C5-1))^'Paramètres 2026'!B12),4)*(1))</f>
        <v>0.02</v>
      </c>
      <c r="F5" s="23" t="n">
        <f aca="false">IF(C5&gt;=D5,0,ROUND(C5*E5,2))</f>
        <v>109.38</v>
      </c>
      <c r="G5" s="9" t="s">
        <v>212</v>
      </c>
    </row>
    <row r="6" customFormat="false" ht="33.75" hidden="false" customHeight="true" outlineLevel="0" collapsed="false">
      <c r="A6" s="7" t="s">
        <v>213</v>
      </c>
      <c r="B6" s="12" t="n">
        <f aca="false">'Paramètres 2026'!B6</f>
        <v>1823.03</v>
      </c>
      <c r="C6" s="10" t="n">
        <v>5469.09</v>
      </c>
      <c r="D6" s="12" t="n">
        <f aca="false">3*B6</f>
        <v>5469.09</v>
      </c>
      <c r="E6" s="25" t="n">
        <f aca="false">IF(C6&gt;=D6,0,ROUND(MIN('Paramètres 2026'!B9+'Paramètres 2026'!$B$21,'Paramètres 2026'!B9+'Paramètres 2026'!$B$21*MAX(0,0.5*(3*B6/C6-1))^'Paramètres 2026'!B12),4)*(1))</f>
        <v>0</v>
      </c>
      <c r="F6" s="23" t="n">
        <f aca="false">IF(C6&gt;=D6,0,ROUND(C6*E6,2))</f>
        <v>0</v>
      </c>
      <c r="G6" s="9" t="s">
        <v>214</v>
      </c>
    </row>
    <row r="7" customFormat="false" ht="33.75" hidden="false" customHeight="true" outlineLevel="0" collapsed="false">
      <c r="A7" s="7" t="s">
        <v>215</v>
      </c>
      <c r="B7" s="12" t="n">
        <f aca="false">'Paramètres 2026'!B6*0.5</f>
        <v>911.515</v>
      </c>
      <c r="C7" s="10" t="n">
        <v>4000</v>
      </c>
      <c r="D7" s="12" t="n">
        <f aca="false">3*B7</f>
        <v>2734.545</v>
      </c>
      <c r="E7" s="25" t="n">
        <f aca="false">IF(C7&gt;=D7,0,ROUND(MIN('Paramètres 2026'!B9+'Paramètres 2026'!$B$21,'Paramètres 2026'!B9+'Paramètres 2026'!$B$21*MAX(0,0.5*(3*B7/C7-1))^'Paramètres 2026'!B12),4)*(1))</f>
        <v>0</v>
      </c>
      <c r="F7" s="23" t="n">
        <f aca="false">IF(C7&gt;=D7,0,ROUND(C7*E7,2))</f>
        <v>0</v>
      </c>
      <c r="G7" s="9" t="s">
        <v>216</v>
      </c>
    </row>
    <row r="8" customFormat="false" ht="33.75" hidden="false" customHeight="true" outlineLevel="0" collapsed="false">
      <c r="A8" s="7" t="s">
        <v>217</v>
      </c>
      <c r="B8" s="12" t="n">
        <f aca="false">'Paramètres 2026'!B6*217/218</f>
        <v>1814.66747706422</v>
      </c>
      <c r="C8" s="10" t="n">
        <v>3000</v>
      </c>
      <c r="D8" s="12" t="n">
        <f aca="false">3*B8</f>
        <v>5444.00243119266</v>
      </c>
      <c r="E8" s="25" t="n">
        <f aca="false">IF(C8&gt;=D8,0,ROUND(MIN('Paramètres 2026'!B9+'Paramètres 2026'!$B$21,'Paramètres 2026'!B9+'Paramètres 2026'!$B$21*MAX(0,0.5*(3*B8/C8-1))^'Paramètres 2026'!B12),4)*(1))</f>
        <v>0.0985</v>
      </c>
      <c r="F8" s="23" t="n">
        <f aca="false">IF(C8&gt;=D8,0,ROUND(C8*E8,2))</f>
        <v>295.5</v>
      </c>
      <c r="G8" s="9" t="s">
        <v>218</v>
      </c>
    </row>
    <row r="9" customFormat="false" ht="33.75" hidden="false" customHeight="true" outlineLevel="0" collapsed="false">
      <c r="A9" s="7" t="s">
        <v>219</v>
      </c>
      <c r="B9" s="12" t="n">
        <f aca="false">'Paramètres 2026'!B6</f>
        <v>1823.03</v>
      </c>
      <c r="C9" s="10" t="n">
        <v>3000</v>
      </c>
      <c r="D9" s="12" t="n">
        <f aca="false">3*B9</f>
        <v>5469.09</v>
      </c>
      <c r="E9" s="25" t="n">
        <f aca="false">IF(C9&gt;=D9,0,ROUND(MIN('Paramètres 2026'!B9+'Paramètres 2026'!$B$21,'Paramètres 2026'!B9+'Paramètres 2026'!$B$21*MAX(0,0.5*(3*B9/C9-1))^'Paramètres 2026'!B12),4)*(1))</f>
        <v>0.0999</v>
      </c>
      <c r="F9" s="23" t="n">
        <f aca="false">IF(C9&gt;=D9,0,ROUND(C9*E9,2))</f>
        <v>299.7</v>
      </c>
      <c r="G9" s="9" t="s">
        <v>220</v>
      </c>
    </row>
    <row r="10" customFormat="false" ht="33.75" hidden="false" customHeight="true" outlineLevel="0" collapsed="false">
      <c r="A10" s="7" t="s">
        <v>221</v>
      </c>
      <c r="B10" s="12" t="n">
        <f aca="false">'Paramètres 2026'!B6</f>
        <v>1823.03</v>
      </c>
      <c r="C10" s="10" t="n">
        <v>2500</v>
      </c>
      <c r="D10" s="12" t="n">
        <f aca="false">3*B10</f>
        <v>5469.09</v>
      </c>
      <c r="E10" s="25" t="n">
        <f aca="false">IF(C10&gt;=D10,0,ROUND(MIN('Paramètres 2026'!B9+'Paramètres 2026'!$B$21,'Paramètres 2026'!B9+'Paramètres 2026'!$B$21*MAX(0,0.5*(3*B10/C10-1))^'Paramètres 2026'!B12),4)*('Paramètres 2026'!B14))</f>
        <v>0.191</v>
      </c>
      <c r="F10" s="23" t="n">
        <f aca="false">IF(C10&gt;=D10,0,ROUND(C10*E10,2))</f>
        <v>477.5</v>
      </c>
      <c r="G10" s="9" t="s">
        <v>222</v>
      </c>
    </row>
    <row r="11" customFormat="false" ht="33.75" hidden="false" customHeight="true" outlineLevel="0" collapsed="false">
      <c r="A11" s="7" t="s">
        <v>223</v>
      </c>
      <c r="B11" s="12" t="n">
        <f aca="false">'Paramètres 2026'!B6*45/35</f>
        <v>2343.89571428571</v>
      </c>
      <c r="C11" s="10" t="n">
        <v>2500</v>
      </c>
      <c r="D11" s="12" t="n">
        <f aca="false">3*B11</f>
        <v>7031.68714285714</v>
      </c>
      <c r="E11" s="25" t="n">
        <f aca="false">IF(C11&gt;=D11,0,ROUND(MIN('Paramètres 2026'!B9+'Paramètres 2026'!$B$21,'Paramètres 2026'!B9+'Paramètres 2026'!$B$21*MAX(0,0.5*(3*B11/C11-1))^'Paramètres 2026'!B12),4)*(1))</f>
        <v>0.3383</v>
      </c>
      <c r="F11" s="23" t="n">
        <f aca="false">IF(C11&gt;=D11,0,ROUND(C11*E11,2))</f>
        <v>845.75</v>
      </c>
      <c r="G11" s="9" t="s">
        <v>224</v>
      </c>
    </row>
    <row r="12" customFormat="false" ht="33.75" hidden="false" customHeight="true" outlineLevel="0" collapsed="false">
      <c r="A12" s="7" t="s">
        <v>225</v>
      </c>
      <c r="B12" s="12" t="n">
        <f aca="false">'Paramètres 2026'!B6</f>
        <v>1823.03</v>
      </c>
      <c r="C12" s="10" t="n">
        <v>1823.03</v>
      </c>
      <c r="D12" s="12" t="n">
        <f aca="false">3*B12</f>
        <v>5469.09</v>
      </c>
      <c r="E12" s="25" t="n">
        <f aca="false">IF(C12&gt;=D12,0,ROUND(MIN('Paramètres 2026'!B9+'Paramètres 2026'!$B$21,'Paramètres 2026'!B9+'Paramètres 2026'!$B$21*MAX(0,0.5*(3*B12/C12-1))^'Paramètres 2026'!B12),4)*(1))</f>
        <v>0.3981</v>
      </c>
      <c r="F12" s="23" t="n">
        <f aca="false">IF(C12&gt;=D12,0,ROUND(C12*E12,2))</f>
        <v>725.75</v>
      </c>
      <c r="G12" s="9" t="s">
        <v>226</v>
      </c>
    </row>
    <row r="14" customFormat="false" ht="30" hidden="false" customHeight="true" outlineLevel="0" collapsed="false">
      <c r="A14" s="28" t="s">
        <v>227</v>
      </c>
      <c r="B14" s="28"/>
      <c r="C14" s="28"/>
      <c r="D14" s="28"/>
      <c r="E14" s="28"/>
      <c r="F14" s="28"/>
      <c r="G14" s="28"/>
    </row>
  </sheetData>
  <mergeCells count="1">
    <mergeCell ref="A14:G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60"/>
    <col collapsed="false" customWidth="true" hidden="false" outlineLevel="0" max="3" min="3" style="0" width="26"/>
  </cols>
  <sheetData>
    <row r="2" customFormat="false" ht="17.35" hidden="false" customHeight="false" outlineLevel="0" collapsed="false">
      <c r="A2" s="5" t="s">
        <v>228</v>
      </c>
    </row>
    <row r="4" customFormat="false" ht="30" hidden="false" customHeight="true" outlineLevel="0" collapsed="false">
      <c r="A4" s="6" t="s">
        <v>229</v>
      </c>
      <c r="B4" s="6" t="s">
        <v>230</v>
      </c>
      <c r="C4" s="6" t="s">
        <v>231</v>
      </c>
    </row>
    <row r="5" customFormat="false" ht="30" hidden="false" customHeight="true" outlineLevel="0" collapsed="false">
      <c r="A5" s="7" t="s">
        <v>232</v>
      </c>
      <c r="B5" s="7" t="s">
        <v>233</v>
      </c>
      <c r="C5" s="7" t="s">
        <v>178</v>
      </c>
    </row>
    <row r="6" customFormat="false" ht="30" hidden="false" customHeight="true" outlineLevel="0" collapsed="false">
      <c r="A6" s="7" t="s">
        <v>234</v>
      </c>
      <c r="B6" s="7" t="s">
        <v>235</v>
      </c>
      <c r="C6" s="7" t="s">
        <v>178</v>
      </c>
    </row>
    <row r="7" customFormat="false" ht="30" hidden="false" customHeight="true" outlineLevel="0" collapsed="false">
      <c r="A7" s="7" t="s">
        <v>236</v>
      </c>
      <c r="B7" s="7" t="s">
        <v>237</v>
      </c>
      <c r="C7" s="7" t="s">
        <v>238</v>
      </c>
    </row>
    <row r="8" customFormat="false" ht="30" hidden="false" customHeight="true" outlineLevel="0" collapsed="false">
      <c r="A8" s="7" t="s">
        <v>239</v>
      </c>
      <c r="B8" s="7" t="s">
        <v>240</v>
      </c>
      <c r="C8" s="7" t="s">
        <v>158</v>
      </c>
    </row>
    <row r="9" customFormat="false" ht="30" hidden="false" customHeight="true" outlineLevel="0" collapsed="false">
      <c r="A9" s="7" t="s">
        <v>241</v>
      </c>
      <c r="B9" s="7" t="s">
        <v>242</v>
      </c>
      <c r="C9" s="7" t="s">
        <v>238</v>
      </c>
    </row>
    <row r="10" customFormat="false" ht="30" hidden="false" customHeight="true" outlineLevel="0" collapsed="false">
      <c r="A10" s="7" t="s">
        <v>243</v>
      </c>
      <c r="B10" s="7" t="s">
        <v>244</v>
      </c>
      <c r="C10" s="7" t="s">
        <v>245</v>
      </c>
    </row>
    <row r="11" customFormat="false" ht="30" hidden="false" customHeight="true" outlineLevel="0" collapsed="false">
      <c r="A11" s="7" t="s">
        <v>246</v>
      </c>
      <c r="B11" s="7" t="s">
        <v>247</v>
      </c>
      <c r="C11" s="7" t="s">
        <v>183</v>
      </c>
    </row>
    <row r="12" customFormat="false" ht="30" hidden="false" customHeight="true" outlineLevel="0" collapsed="false">
      <c r="A12" s="7" t="s">
        <v>248</v>
      </c>
      <c r="B12" s="7" t="s">
        <v>249</v>
      </c>
      <c r="C12" s="7" t="s">
        <v>193</v>
      </c>
    </row>
    <row r="13" customFormat="false" ht="30" hidden="false" customHeight="true" outlineLevel="0" collapsed="false">
      <c r="A13" s="7" t="s">
        <v>250</v>
      </c>
      <c r="B13" s="7" t="s">
        <v>251</v>
      </c>
      <c r="C13" s="7" t="s">
        <v>178</v>
      </c>
    </row>
    <row r="14" customFormat="false" ht="30" hidden="false" customHeight="true" outlineLevel="0" collapsed="false">
      <c r="A14" s="7" t="s">
        <v>252</v>
      </c>
      <c r="B14" s="7" t="s">
        <v>253</v>
      </c>
      <c r="C14" s="7" t="s">
        <v>254</v>
      </c>
    </row>
    <row r="15" customFormat="false" ht="30" hidden="false" customHeight="true" outlineLevel="0" collapsed="false">
      <c r="A15" s="7" t="s">
        <v>255</v>
      </c>
      <c r="B15" s="7" t="s">
        <v>256</v>
      </c>
      <c r="C15" s="7" t="s">
        <v>254</v>
      </c>
    </row>
    <row r="17" customFormat="false" ht="31.5" hidden="false" customHeight="true" outlineLevel="0" collapsed="false">
      <c r="A17" s="28" t="s">
        <v>257</v>
      </c>
      <c r="B17" s="28"/>
      <c r="C17" s="28"/>
    </row>
  </sheetData>
  <mergeCells count="1">
    <mergeCell ref="A17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2026-08-30T19:43:49Z</dcterms:created>
  <dc:creator>openpyxl</dc:creator>
  <dc:description/>
  <dc:language>en-US</dc:language>
  <cp:lastModifiedBy/>
  <dcterms:modified xsi:type="dcterms:W3CDTF">2026-08-30T19:43:49Z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